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lfalfa_ estableci _rm_ 2019_20" sheetId="1" r:id="rId1"/>
    <sheet name="Hoja1" sheetId="2" state="hidden" r:id="rId2"/>
  </sheets>
  <definedNames>
    <definedName name="_xlnm.Print_Area" localSheetId="0">'alfalfa_ estableci _rm_ 2019_20'!$A$1:$K$97</definedName>
  </definedNames>
  <calcPr fullCalcOnLoad="1"/>
</workbook>
</file>

<file path=xl/sharedStrings.xml><?xml version="1.0" encoding="utf-8"?>
<sst xmlns="http://schemas.openxmlformats.org/spreadsheetml/2006/main" count="162" uniqueCount="116">
  <si>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</si>
  <si>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</si>
  <si>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</si>
  <si>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</si>
  <si>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</si>
  <si>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</si>
  <si>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</si>
  <si>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</si>
  <si>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</si>
  <si>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</si>
  <si>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</si>
  <si>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</si>
  <si>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</si>
  <si>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</si>
  <si>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</si>
  <si>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</si>
  <si>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</si>
  <si>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</si>
  <si>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</si>
  <si>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</si>
  <si>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</si>
  <si>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</si>
  <si>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</si>
  <si>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</si>
  <si>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</si>
  <si>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</si>
  <si>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</si>
  <si>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</si>
  <si>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</si>
  <si>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</si>
  <si>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</si>
  <si>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</si>
  <si>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</si>
  <si>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</si>
  <si>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</si>
  <si>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</si>
  <si>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</si>
  <si>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</si>
  <si>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</si>
  <si>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</si>
  <si>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</si>
  <si>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</si>
  <si>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</si>
  <si>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</si>
  <si>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</si>
  <si>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</si>
  <si>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</si>
  <si>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</si>
  <si>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</si>
  <si>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</si>
  <si>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</si>
  <si>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</si>
  <si>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</si>
  <si>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</si>
  <si>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</si>
  <si>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</si>
  <si>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</si>
  <si>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Tecnología: media</t>
  </si>
  <si>
    <t>Costo oportunidad (arriendo)</t>
  </si>
  <si>
    <t xml:space="preserve">Administración </t>
  </si>
  <si>
    <t>Contribuciones</t>
  </si>
  <si>
    <t>Región Metropolitana</t>
  </si>
  <si>
    <t>1 hectárea julio  2020</t>
  </si>
  <si>
    <t>Aplicación de fertilizantes</t>
  </si>
  <si>
    <t>Acequiadura</t>
  </si>
  <si>
    <t>Fertilizantes foliares:</t>
  </si>
  <si>
    <t>Tecnología de riego: tendido</t>
  </si>
  <si>
    <t xml:space="preserve">Variedad: Super Lechera WL </t>
  </si>
  <si>
    <t>Ciclo en producción</t>
  </si>
  <si>
    <t>Fecha de cosecha: octubre-marzo</t>
  </si>
  <si>
    <t>Control manual de malezas (desmanche)</t>
  </si>
  <si>
    <t>Aplicación fitosanitarios</t>
  </si>
  <si>
    <t>Aplicación pesticidas</t>
  </si>
  <si>
    <t>Aplicar fertilizante con trompo</t>
  </si>
  <si>
    <t>Destino de producción: consumo  nacional deshidratada</t>
  </si>
  <si>
    <t>Servicio:Segadora, rastrilladura y enfardadora</t>
  </si>
  <si>
    <t>Rendimiento (kilos/ha):</t>
  </si>
  <si>
    <t>Rendimiento (kilos/hectárea)</t>
  </si>
  <si>
    <t>Costo unitario ($/kilo)</t>
  </si>
  <si>
    <r>
      <t>Alfalfa (Medicago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establecida</t>
    </r>
  </si>
  <si>
    <t xml:space="preserve">   septiembre-abril</t>
  </si>
  <si>
    <t xml:space="preserve">   septiembre-febrero</t>
  </si>
  <si>
    <t xml:space="preserve">   agosto</t>
  </si>
  <si>
    <t xml:space="preserve">   octubre-noviembre</t>
  </si>
  <si>
    <t xml:space="preserve">   septiembre-enero</t>
  </si>
  <si>
    <t xml:space="preserve">   octubre-marzo</t>
  </si>
  <si>
    <t xml:space="preserve">   marzo-junio</t>
  </si>
  <si>
    <t xml:space="preserve">   noviembre-febrero</t>
  </si>
  <si>
    <t xml:space="preserve">   septiembre-octubre</t>
  </si>
  <si>
    <t xml:space="preserve">   septiembre-marzo</t>
  </si>
  <si>
    <t xml:space="preserve">   Al 10% de floración</t>
  </si>
  <si>
    <r>
      <t xml:space="preserve">Densidad (plantas/ha) </t>
    </r>
    <r>
      <rPr>
        <vertAlign val="superscript"/>
        <sz val="14"/>
        <rFont val="Arial"/>
        <family val="2"/>
      </rPr>
      <t>(2)</t>
    </r>
  </si>
  <si>
    <t xml:space="preserve"> Muriato de potasio</t>
  </si>
  <si>
    <t xml:space="preserve"> Superfosfato triple</t>
  </si>
  <si>
    <t xml:space="preserve"> Karate con tecnología Zeon</t>
  </si>
  <si>
    <t xml:space="preserve"> Pivot 100 SL </t>
  </si>
  <si>
    <t xml:space="preserve"> Terrasorb foliar</t>
  </si>
  <si>
    <t xml:space="preserve"> Fosfimax 40 20</t>
  </si>
  <si>
    <t>(3) El precio promedio del kg de alfalfa, con humedad de 18 a 20%, corresponde al estimado en la región a nivel predial al momento de la cosecha, durantela temporada 2019-20. Se toma como consideración que un fardo pesa 25 kilos en promedio, en este caso con un rendimiento de 696 fardos por hectárea.</t>
  </si>
  <si>
    <t>(4) El costo de cosecha equivale a los trabajadores requeridos para recolectar y cargar los fardos. El valor se encuentra expresado en pesos por kilo cosechado.</t>
  </si>
  <si>
    <t>(5) Representa el valor de arriendo en la región.</t>
  </si>
  <si>
    <t xml:space="preserve">(6)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</si>
  <si>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(7) La dosis de fertilización promedio podría variar de acuerdo a los resultados del análisis de suelo.</t>
  </si>
  <si>
    <t>(8) 1,5% mensual simple sobre el 50% de los costos totales, tasa de interés promedio de las empresas distribuidoras de insumos.</t>
  </si>
  <si>
    <t>(9) Margen neto corresponde a ingresos totales (precio venta x rendimiento) menos los costos totales.</t>
  </si>
  <si>
    <t>(10) Representa el precio de venta mínimo para cubrir los costos totales de producción.</t>
  </si>
  <si>
    <r>
      <t>Precio de venta a productor ($/kilo)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:</t>
    </r>
  </si>
  <si>
    <t>(2) Considera uso de 25 kg/ha de semilla a la siembra.Cada corona produce de tres a cinco brotes.</t>
  </si>
  <si>
    <t>(1) Nombre científico de la alfalfa.</t>
  </si>
  <si>
    <r>
      <t xml:space="preserve">Cosecha: recolección de fardos y dejar en galpón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</si>
  <si>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(8)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</si>
  <si>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(9)</t>
    </r>
  </si>
  <si>
    <r>
      <t xml:space="preserve">Costo unitario ($/kilos) </t>
    </r>
    <r>
      <rPr>
        <b/>
        <vertAlign val="superscript"/>
        <sz val="14"/>
        <color indexed="9"/>
        <rFont val="Arial"/>
        <family val="2"/>
      </rPr>
      <t>(10)</t>
    </r>
  </si>
  <si>
    <r>
      <t>Maquinaria (b)</t>
    </r>
    <r>
      <rPr>
        <b/>
        <vertAlign val="superscript"/>
        <sz val="14"/>
        <color indexed="9"/>
        <rFont val="Arial"/>
        <family val="2"/>
      </rPr>
      <t>(5)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</si>
  <si>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(6)</t>
    </r>
  </si>
  <si>
    <r>
      <t xml:space="preserve"> Análisis foliar </t>
    </r>
    <r>
      <rPr>
        <vertAlign val="superscript"/>
        <sz val="14"/>
        <rFont val="Arial"/>
        <family val="2"/>
      </rPr>
      <t>(7)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</si>
</sst>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19" xfId="67" applyNumberFormat="1" applyFont="1" applyBorder="1" applyProtection="1">
      <alignment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0" fontId="10" fillId="0" borderId="19" xfId="56" applyFont="1" applyBorder="1" applyProtection="1">
      <alignment/>
      <protection locked="0"/>
    </xf>
    <xf numFmtId="0" fontId="10" fillId="0" borderId="0" xfId="56" applyFont="1">
      <alignment/>
      <protection/>
    </xf>
    <xf numFmtId="180" fontId="10" fillId="0" borderId="19" xfId="67" applyFont="1" applyBorder="1" applyProtection="1">
      <alignment/>
      <protection locked="0"/>
    </xf>
    <xf numFmtId="180" fontId="10" fillId="0" borderId="0" xfId="67" applyFont="1">
      <alignment/>
      <protection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4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0" borderId="19" xfId="56" applyFont="1" applyBorder="1" applyAlignment="1" applyProtection="1">
      <alignment horizontal="left"/>
      <protection locked="0"/>
    </xf>
    <xf numFmtId="0" fontId="10" fillId="0" borderId="0" xfId="56" applyFont="1" applyAlignment="1" applyProtection="1">
      <alignment horizontal="left"/>
      <protection locked="0"/>
    </xf>
    <xf numFmtId="0" fontId="10" fillId="0" borderId="11" xfId="56" applyFont="1" applyBorder="1" applyAlignment="1" applyProtection="1">
      <alignment horizontal="left"/>
      <protection locked="0"/>
    </xf>
    <xf numFmtId="3" fontId="10" fillId="0" borderId="22" xfId="56" applyNumberFormat="1" applyFont="1" applyBorder="1" applyAlignment="1" applyProtection="1">
      <alignment horizontal="right"/>
      <protection locked="0"/>
    </xf>
    <xf numFmtId="0" fontId="10" fillId="0" borderId="0" xfId="56" applyFont="1" applyProtection="1">
      <alignment/>
      <protection locked="0"/>
    </xf>
    <xf numFmtId="181" fontId="10" fillId="0" borderId="11" xfId="56" applyNumberFormat="1" applyFont="1" applyFill="1" applyBorder="1" applyAlignment="1" applyProtection="1">
      <alignment horizontal="center"/>
      <protection/>
    </xf>
    <xf numFmtId="181" fontId="10" fillId="0" borderId="18" xfId="56" applyNumberFormat="1" applyFont="1" applyFill="1" applyBorder="1" applyAlignment="1" applyProtection="1">
      <alignment horizontal="center"/>
      <protection/>
    </xf>
    <xf numFmtId="181" fontId="10" fillId="0" borderId="11" xfId="56" applyNumberFormat="1" applyFont="1" applyBorder="1" applyAlignment="1" applyProtection="1">
      <alignment horizontal="center"/>
      <protection locked="0"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0" borderId="19" xfId="56" applyFont="1" applyBorder="1" applyAlignment="1" applyProtection="1">
      <alignment vertical="center"/>
      <protection locked="0"/>
    </xf>
    <xf numFmtId="0" fontId="10" fillId="0" borderId="11" xfId="56" applyFont="1" applyBorder="1" applyAlignment="1" applyProtection="1">
      <alignment vertical="center"/>
      <protection locked="0"/>
    </xf>
    <xf numFmtId="0" fontId="10" fillId="0" borderId="15" xfId="56" applyFont="1" applyBorder="1" applyAlignment="1" applyProtection="1">
      <alignment vertical="center"/>
      <protection locked="0"/>
    </xf>
    <xf numFmtId="0" fontId="10" fillId="0" borderId="16" xfId="56" applyFont="1" applyBorder="1" applyAlignment="1" applyProtection="1">
      <alignment vertical="center"/>
      <protection locked="0"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17" xfId="56" applyFont="1" applyFill="1" applyBorder="1" applyAlignment="1" applyProtection="1">
      <alignment vertical="center"/>
      <protection locked="0"/>
    </xf>
    <xf numFmtId="0" fontId="10" fillId="34" borderId="18" xfId="56" applyFont="1" applyFill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34" borderId="15" xfId="56" applyFont="1" applyFill="1" applyBorder="1" applyAlignment="1" applyProtection="1">
      <alignment vertical="center"/>
      <protection locked="0"/>
    </xf>
    <xf numFmtId="0" fontId="10" fillId="34" borderId="16" xfId="56" applyFont="1" applyFill="1" applyBorder="1" applyAlignment="1" applyProtection="1">
      <alignment vertical="center"/>
      <protection locked="0"/>
    </xf>
    <xf numFmtId="0" fontId="10" fillId="34" borderId="14" xfId="56" applyFont="1" applyFill="1" applyBorder="1" applyAlignment="1" applyProtection="1">
      <alignment vertical="center"/>
      <protection locked="0"/>
    </xf>
    <xf numFmtId="0" fontId="10" fillId="34" borderId="0" xfId="56" applyFont="1" applyFill="1" applyBorder="1" applyAlignment="1" applyProtection="1">
      <alignment vertical="center"/>
      <protection locked="0"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4" xfId="67" applyNumberFormat="1" applyFont="1" applyFill="1" applyBorder="1" applyAlignment="1" applyProtection="1">
      <alignment horizontal="left"/>
      <protection/>
    </xf>
    <xf numFmtId="0" fontId="66" fillId="34" borderId="20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4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3" fontId="13" fillId="0" borderId="0" xfId="53" applyNumberFormat="1" applyFont="1" applyBorder="1" applyAlignment="1" applyProtection="1">
      <alignment horizontal="left" vertical="center" wrapText="1"/>
      <protection locked="0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8" fillId="38" borderId="2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628650</xdr:colOff>
      <xdr:row>96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345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9"/>
  <sheetViews>
    <sheetView showGridLines="0" tabSelected="1" view="pageBreakPreview" zoomScale="70" zoomScaleNormal="70" zoomScaleSheetLayoutView="70" zoomScalePageLayoutView="80" workbookViewId="0" topLeftCell="A70">
      <selection activeCell="J17" sqref="J17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8"/>
      <c r="C2" s="138"/>
      <c r="D2" s="312" t="s">
        <v>36</v>
      </c>
      <c r="E2" s="312"/>
      <c r="F2" s="312"/>
      <c r="G2" s="312"/>
      <c r="H2" s="312"/>
      <c r="I2" s="312"/>
      <c r="J2" s="312"/>
    </row>
    <row r="3" spans="2:11" s="3" customFormat="1" ht="18" customHeight="1">
      <c r="B3" s="94"/>
      <c r="C3" s="117"/>
      <c r="D3" s="313" t="s">
        <v>79</v>
      </c>
      <c r="E3" s="313"/>
      <c r="F3" s="313"/>
      <c r="G3" s="313"/>
      <c r="H3" s="313"/>
      <c r="I3" s="313"/>
      <c r="J3" s="313"/>
      <c r="K3" s="14"/>
    </row>
    <row r="4" spans="2:11" s="3" customFormat="1" ht="18" customHeight="1">
      <c r="B4" s="94"/>
      <c r="C4" s="117"/>
      <c r="D4" s="313" t="s">
        <v>61</v>
      </c>
      <c r="E4" s="313"/>
      <c r="F4" s="313"/>
      <c r="G4" s="313"/>
      <c r="H4" s="313"/>
      <c r="I4" s="313"/>
      <c r="J4" s="313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21" t="s">
        <v>29</v>
      </c>
      <c r="E6" s="322"/>
      <c r="F6" s="322"/>
      <c r="G6" s="322"/>
      <c r="H6" s="322"/>
      <c r="I6" s="322"/>
      <c r="J6" s="323"/>
      <c r="K6" s="16"/>
    </row>
    <row r="7" spans="2:11" s="3" customFormat="1" ht="18" customHeight="1">
      <c r="B7" s="42"/>
      <c r="C7" s="42"/>
      <c r="D7" s="85" t="s">
        <v>62</v>
      </c>
      <c r="E7" s="86"/>
      <c r="F7" s="86"/>
      <c r="G7" s="87" t="s">
        <v>67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66</v>
      </c>
      <c r="E8" s="92"/>
      <c r="F8" s="92"/>
      <c r="G8" s="93" t="s">
        <v>74</v>
      </c>
      <c r="H8" s="94"/>
      <c r="I8" s="95"/>
      <c r="J8" s="96"/>
      <c r="K8" s="16"/>
    </row>
    <row r="9" spans="2:11" s="3" customFormat="1" ht="18" customHeight="1">
      <c r="B9" s="42"/>
      <c r="C9" s="42"/>
      <c r="D9" s="215" t="s">
        <v>91</v>
      </c>
      <c r="E9" s="216"/>
      <c r="F9" s="158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68</v>
      </c>
      <c r="E10" s="98"/>
      <c r="F10" s="98"/>
      <c r="G10" s="99" t="s">
        <v>69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14" t="s">
        <v>30</v>
      </c>
      <c r="C12" s="315"/>
      <c r="D12" s="315"/>
      <c r="E12" s="316"/>
      <c r="F12" s="41"/>
      <c r="G12" s="317" t="s">
        <v>4</v>
      </c>
      <c r="H12" s="318"/>
      <c r="I12" s="318"/>
      <c r="J12" s="319"/>
      <c r="K12" s="16"/>
    </row>
    <row r="13" spans="2:11" ht="18">
      <c r="B13" s="107" t="s">
        <v>76</v>
      </c>
      <c r="C13" s="108"/>
      <c r="D13" s="86"/>
      <c r="E13" s="109">
        <v>17400</v>
      </c>
      <c r="F13" s="42"/>
      <c r="G13" s="113" t="s">
        <v>52</v>
      </c>
      <c r="H13" s="86"/>
      <c r="I13" s="86"/>
      <c r="J13" s="139">
        <f>E13*E14</f>
        <v>2839680</v>
      </c>
      <c r="K13" s="16"/>
    </row>
    <row r="14" spans="2:13" ht="18" customHeight="1">
      <c r="B14" s="183" t="s">
        <v>106</v>
      </c>
      <c r="C14" s="184"/>
      <c r="D14" s="184"/>
      <c r="E14" s="142">
        <v>163.2</v>
      </c>
      <c r="F14" s="42"/>
      <c r="G14" s="114" t="s">
        <v>49</v>
      </c>
      <c r="H14" s="42"/>
      <c r="I14" s="42"/>
      <c r="J14" s="140">
        <f>J28+J35+J50+J53</f>
        <v>1755859.35</v>
      </c>
      <c r="K14" s="16"/>
      <c r="M14" s="169"/>
    </row>
    <row r="15" spans="2:11" ht="18">
      <c r="B15" s="132" t="s">
        <v>37</v>
      </c>
      <c r="C15" s="43"/>
      <c r="D15" s="42"/>
      <c r="E15" s="142">
        <v>20000</v>
      </c>
      <c r="F15" s="42"/>
      <c r="G15" s="114" t="s">
        <v>51</v>
      </c>
      <c r="H15" s="44"/>
      <c r="I15" s="42"/>
      <c r="J15" s="140">
        <f>J28+J35+J50+J53+J63</f>
        <v>1834873.0207500001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53</v>
      </c>
      <c r="H16" s="42"/>
      <c r="I16" s="42"/>
      <c r="J16" s="140">
        <f>J13-J14</f>
        <v>1083820.65</v>
      </c>
      <c r="K16" s="16"/>
    </row>
    <row r="17" spans="2:11" ht="18">
      <c r="B17" s="132" t="s">
        <v>3</v>
      </c>
      <c r="C17" s="45"/>
      <c r="D17" s="42"/>
      <c r="E17" s="247">
        <v>6</v>
      </c>
      <c r="F17" s="42"/>
      <c r="G17" s="114" t="s">
        <v>54</v>
      </c>
      <c r="H17" s="42"/>
      <c r="I17" s="42"/>
      <c r="J17" s="140">
        <f>J13-J15</f>
        <v>1004806.9792499999</v>
      </c>
      <c r="K17" s="16"/>
    </row>
    <row r="18" spans="2:11" ht="18">
      <c r="B18" s="111"/>
      <c r="C18" s="112"/>
      <c r="D18" s="103"/>
      <c r="E18" s="248"/>
      <c r="F18" s="42"/>
      <c r="G18" s="115" t="s">
        <v>26</v>
      </c>
      <c r="H18" s="103"/>
      <c r="I18" s="116"/>
      <c r="J18" s="141">
        <f>G81</f>
        <v>105.45247245689656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20"/>
      <c r="F20" s="320"/>
      <c r="G20" s="121"/>
      <c r="H20" s="122"/>
      <c r="I20" s="130"/>
      <c r="J20" s="123"/>
      <c r="K20" s="16"/>
    </row>
    <row r="21" spans="2:11" s="3" customFormat="1" ht="18" customHeight="1">
      <c r="B21" s="187" t="s">
        <v>7</v>
      </c>
      <c r="C21" s="188"/>
      <c r="D21" s="188"/>
      <c r="E21" s="201" t="s">
        <v>38</v>
      </c>
      <c r="F21" s="200"/>
      <c r="G21" s="143" t="s">
        <v>5</v>
      </c>
      <c r="H21" s="144" t="s">
        <v>6</v>
      </c>
      <c r="I21" s="145" t="s">
        <v>46</v>
      </c>
      <c r="J21" s="146" t="s">
        <v>1</v>
      </c>
      <c r="K21" s="16"/>
    </row>
    <row r="22" spans="2:10" s="3" customFormat="1" ht="18">
      <c r="B22" s="217" t="s">
        <v>35</v>
      </c>
      <c r="C22" s="218"/>
      <c r="D22" s="219"/>
      <c r="E22" s="249" t="s">
        <v>80</v>
      </c>
      <c r="F22" s="250"/>
      <c r="G22" s="152">
        <v>10</v>
      </c>
      <c r="H22" s="147" t="s">
        <v>40</v>
      </c>
      <c r="I22" s="233">
        <f>$E$15</f>
        <v>20000</v>
      </c>
      <c r="J22" s="167">
        <f aca="true" t="shared" si="0" ref="J22:J27">G22*I22</f>
        <v>200000</v>
      </c>
    </row>
    <row r="23" spans="2:10" s="3" customFormat="1" ht="18">
      <c r="B23" s="220" t="s">
        <v>32</v>
      </c>
      <c r="C23" s="221"/>
      <c r="D23" s="222"/>
      <c r="E23" s="251" t="s">
        <v>81</v>
      </c>
      <c r="F23" s="252"/>
      <c r="G23" s="153">
        <v>5</v>
      </c>
      <c r="H23" s="148" t="s">
        <v>40</v>
      </c>
      <c r="I23" s="234">
        <f>$E$15</f>
        <v>20000</v>
      </c>
      <c r="J23" s="10">
        <f t="shared" si="0"/>
        <v>100000</v>
      </c>
    </row>
    <row r="24" spans="2:10" s="3" customFormat="1" ht="18">
      <c r="B24" s="205" t="s">
        <v>63</v>
      </c>
      <c r="C24" s="206"/>
      <c r="D24" s="209"/>
      <c r="E24" s="251" t="s">
        <v>82</v>
      </c>
      <c r="F24" s="252"/>
      <c r="G24" s="153">
        <v>2</v>
      </c>
      <c r="H24" s="148" t="s">
        <v>40</v>
      </c>
      <c r="I24" s="234">
        <f>$E$15</f>
        <v>20000</v>
      </c>
      <c r="J24" s="10">
        <f t="shared" si="0"/>
        <v>40000</v>
      </c>
    </row>
    <row r="25" spans="2:10" s="3" customFormat="1" ht="18">
      <c r="B25" s="205" t="s">
        <v>70</v>
      </c>
      <c r="C25" s="206"/>
      <c r="D25" s="209"/>
      <c r="E25" s="251" t="s">
        <v>83</v>
      </c>
      <c r="F25" s="252"/>
      <c r="G25" s="153">
        <v>3</v>
      </c>
      <c r="H25" s="148" t="s">
        <v>40</v>
      </c>
      <c r="I25" s="234">
        <f>$E$15</f>
        <v>20000</v>
      </c>
      <c r="J25" s="10">
        <f t="shared" si="0"/>
        <v>60000</v>
      </c>
    </row>
    <row r="26" spans="2:10" s="3" customFormat="1" ht="18">
      <c r="B26" s="205" t="s">
        <v>71</v>
      </c>
      <c r="C26" s="206"/>
      <c r="D26" s="209"/>
      <c r="E26" s="251" t="s">
        <v>84</v>
      </c>
      <c r="F26" s="252"/>
      <c r="G26" s="153">
        <v>3</v>
      </c>
      <c r="H26" s="148" t="s">
        <v>40</v>
      </c>
      <c r="I26" s="234">
        <f>$E$15</f>
        <v>20000</v>
      </c>
      <c r="J26" s="10">
        <f t="shared" si="0"/>
        <v>60000</v>
      </c>
    </row>
    <row r="27" spans="2:10" s="3" customFormat="1" ht="17.25" customHeight="1">
      <c r="B27" s="205" t="s">
        <v>109</v>
      </c>
      <c r="C27" s="206"/>
      <c r="D27" s="209"/>
      <c r="E27" s="253" t="s">
        <v>85</v>
      </c>
      <c r="F27" s="254"/>
      <c r="G27" s="155">
        <v>4</v>
      </c>
      <c r="H27" s="148" t="s">
        <v>40</v>
      </c>
      <c r="I27" s="235">
        <v>20000</v>
      </c>
      <c r="J27" s="168">
        <f t="shared" si="0"/>
        <v>80000</v>
      </c>
    </row>
    <row r="28" spans="2:11" ht="18">
      <c r="B28" s="191" t="s">
        <v>8</v>
      </c>
      <c r="C28" s="192"/>
      <c r="D28" s="192"/>
      <c r="E28" s="192"/>
      <c r="F28" s="192"/>
      <c r="G28" s="192"/>
      <c r="H28" s="192"/>
      <c r="I28" s="192"/>
      <c r="J28" s="104">
        <f>SUM(J22:J27)</f>
        <v>540000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7" t="s">
        <v>113</v>
      </c>
      <c r="C30" s="188"/>
      <c r="D30" s="188"/>
      <c r="E30" s="201" t="s">
        <v>38</v>
      </c>
      <c r="F30" s="201"/>
      <c r="G30" s="143" t="s">
        <v>5</v>
      </c>
      <c r="H30" s="144" t="s">
        <v>6</v>
      </c>
      <c r="I30" s="145" t="s">
        <v>46</v>
      </c>
      <c r="J30" s="146" t="s">
        <v>1</v>
      </c>
      <c r="K30" s="3"/>
    </row>
    <row r="31" spans="2:10" s="3" customFormat="1" ht="18">
      <c r="B31" s="207" t="s">
        <v>64</v>
      </c>
      <c r="C31" s="208"/>
      <c r="D31" s="208"/>
      <c r="E31" s="249" t="s">
        <v>85</v>
      </c>
      <c r="F31" s="255"/>
      <c r="G31" s="231">
        <v>2</v>
      </c>
      <c r="H31" s="226" t="s">
        <v>41</v>
      </c>
      <c r="I31" s="236">
        <v>8000</v>
      </c>
      <c r="J31" s="127">
        <f>I31*G31</f>
        <v>16000</v>
      </c>
    </row>
    <row r="32" spans="2:10" s="3" customFormat="1" ht="18">
      <c r="B32" s="205" t="s">
        <v>72</v>
      </c>
      <c r="C32" s="206"/>
      <c r="D32" s="209"/>
      <c r="E32" s="251" t="s">
        <v>81</v>
      </c>
      <c r="F32" s="256"/>
      <c r="G32" s="232">
        <v>2</v>
      </c>
      <c r="H32" s="225" t="s">
        <v>41</v>
      </c>
      <c r="I32" s="237">
        <v>25000</v>
      </c>
      <c r="J32" s="128">
        <f>I32*G32</f>
        <v>50000</v>
      </c>
    </row>
    <row r="33" spans="2:10" s="3" customFormat="1" ht="18">
      <c r="B33" s="205" t="s">
        <v>73</v>
      </c>
      <c r="C33" s="206"/>
      <c r="D33" s="209"/>
      <c r="E33" s="251" t="s">
        <v>82</v>
      </c>
      <c r="F33" s="256"/>
      <c r="G33" s="232">
        <v>1</v>
      </c>
      <c r="H33" s="225" t="s">
        <v>41</v>
      </c>
      <c r="I33" s="237">
        <v>20000</v>
      </c>
      <c r="J33" s="128">
        <f>I33*G33</f>
        <v>20000</v>
      </c>
    </row>
    <row r="34" spans="2:10" s="3" customFormat="1" ht="18">
      <c r="B34" s="205" t="s">
        <v>75</v>
      </c>
      <c r="C34" s="206"/>
      <c r="D34" s="209"/>
      <c r="E34" s="251" t="s">
        <v>85</v>
      </c>
      <c r="F34" s="256"/>
      <c r="G34" s="154">
        <f>E13</f>
        <v>17400</v>
      </c>
      <c r="H34" s="225" t="s">
        <v>42</v>
      </c>
      <c r="I34" s="237">
        <v>44</v>
      </c>
      <c r="J34" s="128">
        <f>I34*G34</f>
        <v>765600</v>
      </c>
    </row>
    <row r="35" spans="2:12" ht="15.75" customHeight="1">
      <c r="B35" s="191" t="s">
        <v>10</v>
      </c>
      <c r="C35" s="192"/>
      <c r="D35" s="192"/>
      <c r="E35" s="192"/>
      <c r="F35" s="192"/>
      <c r="G35" s="192"/>
      <c r="H35" s="192"/>
      <c r="I35" s="192"/>
      <c r="J35" s="124">
        <f>SUM(J31:J34)</f>
        <v>851600</v>
      </c>
      <c r="K35" s="3"/>
      <c r="L35" s="16"/>
    </row>
    <row r="36" spans="2:12" s="3" customFormat="1" ht="18">
      <c r="B36" s="84"/>
      <c r="C36" s="84"/>
      <c r="D36" s="84"/>
      <c r="E36" s="84"/>
      <c r="F36" s="84"/>
      <c r="G36" s="25"/>
      <c r="H36" s="84"/>
      <c r="I36" s="84"/>
      <c r="J36" s="27"/>
      <c r="L36" s="19"/>
    </row>
    <row r="37" spans="2:12" s="3" customFormat="1" ht="18" customHeight="1">
      <c r="B37" s="187" t="s">
        <v>114</v>
      </c>
      <c r="C37" s="188"/>
      <c r="D37" s="188"/>
      <c r="E37" s="201" t="s">
        <v>38</v>
      </c>
      <c r="F37" s="201"/>
      <c r="G37" s="143" t="s">
        <v>5</v>
      </c>
      <c r="H37" s="144" t="s">
        <v>6</v>
      </c>
      <c r="I37" s="145" t="s">
        <v>46</v>
      </c>
      <c r="J37" s="146" t="s">
        <v>1</v>
      </c>
      <c r="L37" s="24"/>
    </row>
    <row r="38" spans="2:12" s="3" customFormat="1" ht="18" customHeight="1">
      <c r="B38" s="162" t="s">
        <v>24</v>
      </c>
      <c r="C38" s="163"/>
      <c r="D38" s="163"/>
      <c r="E38" s="241"/>
      <c r="F38" s="242"/>
      <c r="G38" s="228"/>
      <c r="H38" s="150"/>
      <c r="I38" s="238"/>
      <c r="J38" s="128"/>
      <c r="L38" s="24"/>
    </row>
    <row r="39" spans="2:12" s="3" customFormat="1" ht="18">
      <c r="B39" s="210" t="s">
        <v>92</v>
      </c>
      <c r="C39" s="211"/>
      <c r="D39" s="159"/>
      <c r="E39" s="243" t="s">
        <v>82</v>
      </c>
      <c r="F39" s="244"/>
      <c r="G39" s="227">
        <v>200</v>
      </c>
      <c r="H39" s="149" t="s">
        <v>42</v>
      </c>
      <c r="I39" s="238">
        <v>365</v>
      </c>
      <c r="J39" s="223">
        <f>G39*I39</f>
        <v>73000</v>
      </c>
      <c r="L39" s="24"/>
    </row>
    <row r="40" spans="2:12" s="3" customFormat="1" ht="18">
      <c r="B40" s="210" t="s">
        <v>93</v>
      </c>
      <c r="C40" s="211"/>
      <c r="D40" s="137"/>
      <c r="E40" s="243" t="s">
        <v>86</v>
      </c>
      <c r="F40" s="244"/>
      <c r="G40" s="227">
        <v>100</v>
      </c>
      <c r="H40" s="149" t="s">
        <v>42</v>
      </c>
      <c r="I40" s="238">
        <v>393</v>
      </c>
      <c r="J40" s="223">
        <f>G40*I40</f>
        <v>39300</v>
      </c>
      <c r="L40" s="24"/>
    </row>
    <row r="41" spans="2:12" s="3" customFormat="1" ht="18">
      <c r="B41" s="212" t="s">
        <v>25</v>
      </c>
      <c r="C41" s="26"/>
      <c r="D41" s="166"/>
      <c r="E41" s="241"/>
      <c r="F41" s="242"/>
      <c r="G41" s="229"/>
      <c r="H41" s="149"/>
      <c r="I41" s="238"/>
      <c r="J41" s="128"/>
      <c r="L41" s="24"/>
    </row>
    <row r="42" spans="2:12" s="3" customFormat="1" ht="18">
      <c r="B42" s="213" t="s">
        <v>94</v>
      </c>
      <c r="C42" s="26"/>
      <c r="D42" s="166"/>
      <c r="E42" s="243" t="s">
        <v>87</v>
      </c>
      <c r="F42" s="244"/>
      <c r="G42" s="229">
        <v>1</v>
      </c>
      <c r="H42" s="149" t="s">
        <v>43</v>
      </c>
      <c r="I42" s="239">
        <v>44900</v>
      </c>
      <c r="J42" s="128">
        <f>G42*I42</f>
        <v>44900</v>
      </c>
      <c r="L42" s="24"/>
    </row>
    <row r="43" spans="2:12" s="3" customFormat="1" ht="18">
      <c r="B43" s="212" t="s">
        <v>56</v>
      </c>
      <c r="C43" s="161"/>
      <c r="D43" s="161"/>
      <c r="E43" s="241"/>
      <c r="F43" s="242"/>
      <c r="G43" s="229"/>
      <c r="H43" s="149"/>
      <c r="I43" s="238"/>
      <c r="J43" s="128"/>
      <c r="L43" s="24"/>
    </row>
    <row r="44" spans="2:12" s="3" customFormat="1" ht="18">
      <c r="B44" s="213" t="s">
        <v>95</v>
      </c>
      <c r="C44" s="224"/>
      <c r="D44" s="157"/>
      <c r="E44" s="243" t="s">
        <v>88</v>
      </c>
      <c r="F44" s="244"/>
      <c r="G44" s="228">
        <v>1</v>
      </c>
      <c r="H44" s="150" t="s">
        <v>43</v>
      </c>
      <c r="I44" s="239">
        <v>54210</v>
      </c>
      <c r="J44" s="128">
        <f>G44*I44</f>
        <v>54210</v>
      </c>
      <c r="L44" s="24"/>
    </row>
    <row r="45" spans="2:12" s="3" customFormat="1" ht="18">
      <c r="B45" s="212" t="s">
        <v>65</v>
      </c>
      <c r="C45" s="214"/>
      <c r="D45" s="166"/>
      <c r="E45" s="241"/>
      <c r="F45" s="242"/>
      <c r="G45" s="228"/>
      <c r="H45" s="150"/>
      <c r="I45" s="238"/>
      <c r="J45" s="128"/>
      <c r="L45" s="24"/>
    </row>
    <row r="46" spans="2:12" s="3" customFormat="1" ht="19.5" customHeight="1">
      <c r="B46" s="213" t="s">
        <v>96</v>
      </c>
      <c r="C46" s="157"/>
      <c r="D46" s="157"/>
      <c r="E46" s="243" t="s">
        <v>89</v>
      </c>
      <c r="F46" s="244"/>
      <c r="G46" s="228">
        <v>3</v>
      </c>
      <c r="H46" s="150" t="s">
        <v>43</v>
      </c>
      <c r="I46" s="238">
        <v>5279</v>
      </c>
      <c r="J46" s="128">
        <f>G46*I46</f>
        <v>15837</v>
      </c>
      <c r="L46" s="24"/>
    </row>
    <row r="47" spans="2:12" s="3" customFormat="1" ht="18">
      <c r="B47" s="213" t="s">
        <v>97</v>
      </c>
      <c r="C47" s="157"/>
      <c r="D47" s="157"/>
      <c r="E47" s="243" t="s">
        <v>89</v>
      </c>
      <c r="F47" s="244"/>
      <c r="G47" s="228">
        <v>3</v>
      </c>
      <c r="H47" s="150" t="s">
        <v>43</v>
      </c>
      <c r="I47" s="238">
        <v>7800</v>
      </c>
      <c r="J47" s="128">
        <f>G47*I47</f>
        <v>23400</v>
      </c>
      <c r="L47" s="24"/>
    </row>
    <row r="48" spans="2:12" s="3" customFormat="1" ht="18">
      <c r="B48" s="156" t="s">
        <v>33</v>
      </c>
      <c r="C48" s="159"/>
      <c r="D48" s="159"/>
      <c r="E48" s="241"/>
      <c r="F48" s="242"/>
      <c r="G48" s="228"/>
      <c r="H48" s="150"/>
      <c r="I48" s="238"/>
      <c r="J48" s="128"/>
      <c r="L48" s="24"/>
    </row>
    <row r="49" spans="2:12" s="3" customFormat="1" ht="18" customHeight="1">
      <c r="B49" s="213" t="s">
        <v>115</v>
      </c>
      <c r="C49" s="160"/>
      <c r="D49" s="160"/>
      <c r="E49" s="245" t="s">
        <v>90</v>
      </c>
      <c r="F49" s="246"/>
      <c r="G49" s="230">
        <v>1</v>
      </c>
      <c r="H49" s="151" t="s">
        <v>44</v>
      </c>
      <c r="I49" s="240">
        <v>30000</v>
      </c>
      <c r="J49" s="133">
        <f>G49*I49</f>
        <v>30000</v>
      </c>
      <c r="L49" s="24"/>
    </row>
    <row r="50" spans="2:14" ht="18">
      <c r="B50" s="185" t="s">
        <v>11</v>
      </c>
      <c r="C50" s="186"/>
      <c r="D50" s="186"/>
      <c r="E50" s="186"/>
      <c r="F50" s="186"/>
      <c r="G50" s="186"/>
      <c r="H50" s="186"/>
      <c r="I50" s="186"/>
      <c r="J50" s="125">
        <f>SUM(J38:J49)</f>
        <v>280647</v>
      </c>
      <c r="K50" s="16"/>
      <c r="M50" s="16"/>
      <c r="N50" s="16"/>
    </row>
    <row r="51" spans="2:14" s="3" customFormat="1" ht="18">
      <c r="B51" s="29"/>
      <c r="C51" s="29"/>
      <c r="D51" s="29"/>
      <c r="E51" s="29"/>
      <c r="F51" s="29"/>
      <c r="G51" s="30"/>
      <c r="H51" s="29"/>
      <c r="I51" s="29"/>
      <c r="J51" s="31"/>
      <c r="K51" s="16"/>
      <c r="M51" s="16"/>
      <c r="N51" s="16"/>
    </row>
    <row r="52" spans="2:16" ht="18" customHeight="1">
      <c r="B52" s="187" t="s">
        <v>47</v>
      </c>
      <c r="C52" s="188"/>
      <c r="D52" s="188"/>
      <c r="E52" s="199"/>
      <c r="F52" s="199"/>
      <c r="G52" s="143" t="s">
        <v>5</v>
      </c>
      <c r="H52" s="144" t="s">
        <v>6</v>
      </c>
      <c r="I52" s="145"/>
      <c r="J52" s="146" t="s">
        <v>1</v>
      </c>
      <c r="K52" s="16"/>
      <c r="M52" s="16"/>
      <c r="N52" s="16"/>
      <c r="O52" s="9"/>
      <c r="P52" s="9"/>
    </row>
    <row r="53" spans="2:14" s="3" customFormat="1" ht="18">
      <c r="B53" s="257" t="s">
        <v>55</v>
      </c>
      <c r="C53" s="258"/>
      <c r="D53" s="259"/>
      <c r="E53" s="260"/>
      <c r="F53" s="261"/>
      <c r="G53" s="266">
        <v>0.05</v>
      </c>
      <c r="H53" s="262" t="s">
        <v>39</v>
      </c>
      <c r="I53" s="263"/>
      <c r="J53" s="263">
        <f>(J28+J35+J50)*G53</f>
        <v>83612.35</v>
      </c>
      <c r="K53" s="16"/>
      <c r="M53" s="16"/>
      <c r="N53" s="16"/>
    </row>
    <row r="54" spans="11:14" s="3" customFormat="1" ht="18">
      <c r="K54" s="16"/>
      <c r="M54" s="16"/>
      <c r="N54" s="16"/>
    </row>
    <row r="55" spans="2:14" s="3" customFormat="1" ht="18">
      <c r="B55" s="189" t="s">
        <v>48</v>
      </c>
      <c r="C55" s="190"/>
      <c r="D55" s="190"/>
      <c r="E55" s="190"/>
      <c r="F55" s="190"/>
      <c r="G55" s="190"/>
      <c r="H55" s="190"/>
      <c r="I55" s="190"/>
      <c r="J55" s="104">
        <f>J28+J35+J50+J53</f>
        <v>1755859.35</v>
      </c>
      <c r="K55" s="16"/>
      <c r="M55" s="16"/>
      <c r="N55" s="16"/>
    </row>
    <row r="56" spans="2:14" s="3" customFormat="1" ht="18">
      <c r="B56" s="131"/>
      <c r="C56" s="131"/>
      <c r="D56" s="131"/>
      <c r="E56" s="131"/>
      <c r="F56" s="131"/>
      <c r="G56" s="32"/>
      <c r="H56" s="131"/>
      <c r="I56" s="131"/>
      <c r="J56" s="27"/>
      <c r="K56" s="16"/>
      <c r="M56" s="16"/>
      <c r="N56" s="16"/>
    </row>
    <row r="57" spans="2:14" s="3" customFormat="1" ht="20.25">
      <c r="B57" s="120" t="s">
        <v>50</v>
      </c>
      <c r="C57" s="119"/>
      <c r="D57" s="119"/>
      <c r="E57" s="20"/>
      <c r="F57" s="20"/>
      <c r="G57" s="21"/>
      <c r="H57" s="22"/>
      <c r="I57" s="23"/>
      <c r="J57" s="23"/>
      <c r="K57" s="16"/>
      <c r="M57" s="16"/>
      <c r="N57" s="16"/>
    </row>
    <row r="58" spans="2:14" s="3" customFormat="1" ht="18" customHeight="1">
      <c r="B58" s="278" t="s">
        <v>31</v>
      </c>
      <c r="C58" s="279"/>
      <c r="D58" s="279"/>
      <c r="E58" s="277"/>
      <c r="F58" s="277"/>
      <c r="G58" s="143" t="s">
        <v>5</v>
      </c>
      <c r="H58" s="144" t="s">
        <v>6</v>
      </c>
      <c r="I58" s="145"/>
      <c r="J58" s="146" t="s">
        <v>1</v>
      </c>
      <c r="K58" s="16"/>
      <c r="M58" s="16"/>
      <c r="N58" s="16"/>
    </row>
    <row r="59" spans="2:15" s="3" customFormat="1" ht="18" customHeight="1">
      <c r="B59" s="264" t="s">
        <v>110</v>
      </c>
      <c r="C59" s="178"/>
      <c r="D59" s="178"/>
      <c r="E59" s="202"/>
      <c r="F59" s="203"/>
      <c r="G59" s="164">
        <f>E16</f>
        <v>0.015</v>
      </c>
      <c r="H59" s="165" t="s">
        <v>39</v>
      </c>
      <c r="I59" s="180"/>
      <c r="J59" s="11">
        <f>J55*E16*E17*0.5</f>
        <v>79013.67075</v>
      </c>
      <c r="K59" s="16"/>
      <c r="L59" s="273"/>
      <c r="M59" s="273"/>
      <c r="N59" s="273"/>
      <c r="O59" s="273"/>
    </row>
    <row r="60" spans="2:18" ht="18" customHeight="1" outlineLevel="1">
      <c r="B60" s="265" t="s">
        <v>58</v>
      </c>
      <c r="C60" s="157"/>
      <c r="D60" s="157"/>
      <c r="E60" s="176"/>
      <c r="F60" s="170"/>
      <c r="G60" s="171"/>
      <c r="H60" s="178"/>
      <c r="I60" s="181"/>
      <c r="J60" s="172"/>
      <c r="L60"/>
      <c r="M60"/>
      <c r="N60"/>
      <c r="O60"/>
      <c r="P60"/>
      <c r="Q60"/>
      <c r="R60"/>
    </row>
    <row r="61" spans="2:18" ht="18" customHeight="1" outlineLevel="1">
      <c r="B61" s="265" t="s">
        <v>59</v>
      </c>
      <c r="C61" s="157"/>
      <c r="D61" s="157"/>
      <c r="E61" s="176"/>
      <c r="F61" s="170"/>
      <c r="G61" s="171"/>
      <c r="H61" s="178"/>
      <c r="I61" s="181"/>
      <c r="J61" s="172"/>
      <c r="L61"/>
      <c r="M61"/>
      <c r="N61"/>
      <c r="O61"/>
      <c r="P61"/>
      <c r="Q61"/>
      <c r="R61"/>
    </row>
    <row r="62" spans="2:18" ht="18" customHeight="1" outlineLevel="1">
      <c r="B62" s="82" t="s">
        <v>60</v>
      </c>
      <c r="C62" s="129"/>
      <c r="D62" s="129"/>
      <c r="E62" s="177"/>
      <c r="F62" s="173"/>
      <c r="G62" s="174"/>
      <c r="H62" s="179"/>
      <c r="I62" s="182"/>
      <c r="J62" s="175"/>
      <c r="L62"/>
      <c r="M62"/>
      <c r="N62"/>
      <c r="O62"/>
      <c r="P62"/>
      <c r="Q62"/>
      <c r="R62"/>
    </row>
    <row r="63" spans="2:14" ht="18">
      <c r="B63" s="191" t="s">
        <v>28</v>
      </c>
      <c r="C63" s="192"/>
      <c r="D63" s="192"/>
      <c r="E63" s="192"/>
      <c r="F63" s="192"/>
      <c r="G63" s="192"/>
      <c r="H63" s="192"/>
      <c r="I63" s="192"/>
      <c r="J63" s="104">
        <f>SUM(J59:J62)</f>
        <v>79013.67075</v>
      </c>
      <c r="K63" s="16"/>
      <c r="M63" s="16"/>
      <c r="N63" s="16"/>
    </row>
    <row r="64" spans="2:12" s="3" customFormat="1" ht="18">
      <c r="B64" s="84"/>
      <c r="C64" s="84"/>
      <c r="D64" s="84"/>
      <c r="E64" s="84"/>
      <c r="F64" s="84"/>
      <c r="G64" s="25"/>
      <c r="H64" s="84"/>
      <c r="I64" s="84"/>
      <c r="J64" s="27"/>
      <c r="K64" s="16"/>
      <c r="L64" s="16"/>
    </row>
    <row r="65" spans="2:12" ht="18">
      <c r="B65" s="193" t="s">
        <v>13</v>
      </c>
      <c r="C65" s="194"/>
      <c r="D65" s="194"/>
      <c r="E65" s="194"/>
      <c r="F65" s="194"/>
      <c r="G65" s="194"/>
      <c r="H65" s="194"/>
      <c r="I65" s="194"/>
      <c r="J65" s="197">
        <f>J55+J63</f>
        <v>1834873.0207500001</v>
      </c>
      <c r="K65" s="16"/>
      <c r="L65" s="16"/>
    </row>
    <row r="66" spans="2:12" s="3" customFormat="1" ht="18">
      <c r="B66" s="195"/>
      <c r="C66" s="196"/>
      <c r="D66" s="196"/>
      <c r="E66" s="196"/>
      <c r="F66" s="196"/>
      <c r="G66" s="196"/>
      <c r="H66" s="196"/>
      <c r="I66" s="196"/>
      <c r="J66" s="198"/>
      <c r="K66" s="16"/>
      <c r="L66" s="16"/>
    </row>
    <row r="67" spans="2:12" s="3" customFormat="1" ht="18" customHeight="1">
      <c r="B67" s="135"/>
      <c r="C67" s="135"/>
      <c r="D67" s="135"/>
      <c r="E67" s="135"/>
      <c r="F67" s="135"/>
      <c r="G67" s="135"/>
      <c r="H67" s="135"/>
      <c r="I67" s="135"/>
      <c r="J67" s="136"/>
      <c r="K67" s="16"/>
      <c r="L67" s="16"/>
    </row>
    <row r="68" spans="2:12" s="3" customFormat="1" ht="18" customHeight="1">
      <c r="B68" s="135"/>
      <c r="C68" s="135"/>
      <c r="D68" s="135"/>
      <c r="E68" s="135"/>
      <c r="F68" s="135"/>
      <c r="G68" s="135"/>
      <c r="H68" s="135"/>
      <c r="I68" s="135"/>
      <c r="J68" s="136"/>
      <c r="K68" s="16"/>
      <c r="L68" s="16"/>
    </row>
    <row r="69" spans="2:12" ht="18" customHeight="1">
      <c r="B69" s="302" t="s">
        <v>111</v>
      </c>
      <c r="C69" s="303"/>
      <c r="D69" s="303"/>
      <c r="E69" s="303"/>
      <c r="F69" s="303"/>
      <c r="G69" s="303"/>
      <c r="H69" s="303"/>
      <c r="I69" s="303"/>
      <c r="J69" s="304"/>
      <c r="K69" s="16"/>
      <c r="L69" s="24"/>
    </row>
    <row r="70" spans="2:12" ht="18" customHeight="1">
      <c r="B70" s="308" t="s">
        <v>45</v>
      </c>
      <c r="C70" s="309"/>
      <c r="D70" s="309"/>
      <c r="E70" s="309"/>
      <c r="F70" s="309"/>
      <c r="G70" s="309"/>
      <c r="H70" s="309"/>
      <c r="I70" s="309"/>
      <c r="J70" s="310"/>
      <c r="K70" s="16"/>
      <c r="L70" s="24"/>
    </row>
    <row r="71" spans="2:12" s="3" customFormat="1" ht="18" customHeight="1">
      <c r="B71" s="286" t="s">
        <v>77</v>
      </c>
      <c r="C71" s="287"/>
      <c r="D71" s="288"/>
      <c r="E71" s="324" t="s">
        <v>46</v>
      </c>
      <c r="F71" s="325"/>
      <c r="G71" s="325"/>
      <c r="H71" s="325"/>
      <c r="I71" s="325"/>
      <c r="J71" s="326"/>
      <c r="K71" s="16"/>
      <c r="L71" s="24"/>
    </row>
    <row r="72" spans="2:12" s="3" customFormat="1" ht="18" customHeight="1">
      <c r="B72" s="289"/>
      <c r="C72" s="290"/>
      <c r="D72" s="291"/>
      <c r="E72" s="292">
        <f>G72*0.9</f>
        <v>146.88</v>
      </c>
      <c r="F72" s="294"/>
      <c r="G72" s="329">
        <f>E14</f>
        <v>163.2</v>
      </c>
      <c r="H72" s="330"/>
      <c r="I72" s="292">
        <f>G72*1.1</f>
        <v>179.52</v>
      </c>
      <c r="J72" s="294"/>
      <c r="K72" s="16"/>
      <c r="L72" s="24"/>
    </row>
    <row r="73" spans="2:12" s="3" customFormat="1" ht="18" customHeight="1">
      <c r="B73" s="292">
        <f>E13*0.9</f>
        <v>15660</v>
      </c>
      <c r="C73" s="293"/>
      <c r="D73" s="294"/>
      <c r="E73" s="327">
        <f>E$72*$B$73-$J$65</f>
        <v>465267.7792499997</v>
      </c>
      <c r="F73" s="328"/>
      <c r="G73" s="327">
        <f>G$72*$B$73-$J$65</f>
        <v>720838.9792499999</v>
      </c>
      <c r="H73" s="328"/>
      <c r="I73" s="327">
        <f>I$72*$B$73-$J$65</f>
        <v>976410.17925</v>
      </c>
      <c r="J73" s="328"/>
      <c r="K73" s="16"/>
      <c r="L73" s="24"/>
    </row>
    <row r="74" spans="2:12" s="3" customFormat="1" ht="18" customHeight="1">
      <c r="B74" s="292">
        <f>E13</f>
        <v>17400</v>
      </c>
      <c r="C74" s="293"/>
      <c r="D74" s="294"/>
      <c r="E74" s="327">
        <f>E$72*$B$74-$J$65</f>
        <v>720838.9792499999</v>
      </c>
      <c r="F74" s="328"/>
      <c r="G74" s="327">
        <f>G$72*$B$74-$J$65</f>
        <v>1004806.9792499999</v>
      </c>
      <c r="H74" s="328"/>
      <c r="I74" s="327">
        <f>I$72*$B$74-$J$65</f>
        <v>1288774.9792499999</v>
      </c>
      <c r="J74" s="328"/>
      <c r="K74" s="16"/>
      <c r="L74" s="24"/>
    </row>
    <row r="75" spans="2:12" s="3" customFormat="1" ht="18" customHeight="1">
      <c r="B75" s="292">
        <f>E13*1.1</f>
        <v>19140</v>
      </c>
      <c r="C75" s="293"/>
      <c r="D75" s="294"/>
      <c r="E75" s="327">
        <f>E$72*$B$75-$J$65</f>
        <v>976410.1792499996</v>
      </c>
      <c r="F75" s="328"/>
      <c r="G75" s="327">
        <f>G$72*$B$75-$J$65</f>
        <v>1288774.9792499999</v>
      </c>
      <c r="H75" s="328"/>
      <c r="I75" s="327">
        <f>I$72*$B$75-$J$65</f>
        <v>1601139.7792500001</v>
      </c>
      <c r="J75" s="328"/>
      <c r="K75" s="16"/>
      <c r="L75" s="24"/>
    </row>
    <row r="76" spans="2:12" s="3" customFormat="1" ht="18" customHeight="1">
      <c r="B76" s="34"/>
      <c r="C76" s="34"/>
      <c r="D76" s="35"/>
      <c r="E76" s="35"/>
      <c r="F76" s="35"/>
      <c r="G76" s="36"/>
      <c r="H76" s="12"/>
      <c r="I76" s="15"/>
      <c r="J76" s="15"/>
      <c r="K76" s="16"/>
      <c r="L76" s="24"/>
    </row>
    <row r="77" spans="2:12" s="3" customFormat="1" ht="18" customHeight="1">
      <c r="B77" s="280" t="s">
        <v>112</v>
      </c>
      <c r="C77" s="281"/>
      <c r="D77" s="281"/>
      <c r="E77" s="281"/>
      <c r="F77" s="281"/>
      <c r="G77" s="281"/>
      <c r="H77" s="281"/>
      <c r="I77" s="281"/>
      <c r="J77" s="282"/>
      <c r="K77" s="16"/>
      <c r="L77" s="24"/>
    </row>
    <row r="78" spans="2:12" s="3" customFormat="1" ht="18" customHeight="1">
      <c r="B78" s="283"/>
      <c r="C78" s="284"/>
      <c r="D78" s="284"/>
      <c r="E78" s="284"/>
      <c r="F78" s="284"/>
      <c r="G78" s="284"/>
      <c r="H78" s="284"/>
      <c r="I78" s="284"/>
      <c r="J78" s="285"/>
      <c r="K78" s="16"/>
      <c r="L78" s="24"/>
    </row>
    <row r="79" spans="2:12" s="3" customFormat="1" ht="18" customHeight="1">
      <c r="B79" s="331" t="s">
        <v>77</v>
      </c>
      <c r="C79" s="332"/>
      <c r="D79" s="332"/>
      <c r="E79" s="332">
        <f>B73</f>
        <v>15660</v>
      </c>
      <c r="F79" s="332"/>
      <c r="G79" s="332">
        <f>E13</f>
        <v>17400</v>
      </c>
      <c r="H79" s="332"/>
      <c r="I79" s="332">
        <f>B75</f>
        <v>19140</v>
      </c>
      <c r="J79" s="341"/>
      <c r="K79" s="16"/>
      <c r="L79" s="24"/>
    </row>
    <row r="80" spans="2:12" ht="18" customHeight="1">
      <c r="B80" s="333"/>
      <c r="C80" s="334"/>
      <c r="D80" s="334"/>
      <c r="E80" s="334"/>
      <c r="F80" s="334"/>
      <c r="G80" s="334"/>
      <c r="H80" s="334"/>
      <c r="I80" s="334"/>
      <c r="J80" s="342"/>
      <c r="K80" s="16"/>
      <c r="L80" s="24"/>
    </row>
    <row r="81" spans="2:12" ht="18" customHeight="1">
      <c r="B81" s="335" t="s">
        <v>78</v>
      </c>
      <c r="C81" s="336"/>
      <c r="D81" s="336"/>
      <c r="E81" s="339">
        <f>$J$65/E79</f>
        <v>117.16941384099617</v>
      </c>
      <c r="F81" s="339"/>
      <c r="G81" s="339">
        <f>$J$65/G79</f>
        <v>105.45247245689656</v>
      </c>
      <c r="H81" s="339"/>
      <c r="I81" s="339">
        <f>$J$65/I79</f>
        <v>95.86588405172415</v>
      </c>
      <c r="J81" s="343"/>
      <c r="K81" s="16"/>
      <c r="L81" s="24"/>
    </row>
    <row r="82" spans="2:12" ht="18" customHeight="1">
      <c r="B82" s="337"/>
      <c r="C82" s="338"/>
      <c r="D82" s="338"/>
      <c r="E82" s="340"/>
      <c r="F82" s="340"/>
      <c r="G82" s="340"/>
      <c r="H82" s="340"/>
      <c r="I82" s="340"/>
      <c r="J82" s="344"/>
      <c r="K82" s="16"/>
      <c r="L82" s="24"/>
    </row>
    <row r="83" spans="2:12" ht="18" customHeight="1">
      <c r="B83" s="46"/>
      <c r="C83" s="1"/>
      <c r="D83" s="3"/>
      <c r="E83" s="3"/>
      <c r="F83" s="105"/>
      <c r="G83" s="105"/>
      <c r="H83" s="105"/>
      <c r="I83" s="15"/>
      <c r="J83" s="15"/>
      <c r="K83" s="16"/>
      <c r="L83" s="24"/>
    </row>
    <row r="84" spans="2:11" s="3" customFormat="1" ht="18" customHeight="1">
      <c r="B84" s="274" t="s">
        <v>15</v>
      </c>
      <c r="C84" s="275"/>
      <c r="D84" s="275"/>
      <c r="E84" s="275"/>
      <c r="F84" s="275"/>
      <c r="G84" s="275"/>
      <c r="H84" s="275"/>
      <c r="I84" s="275"/>
      <c r="J84" s="276"/>
      <c r="K84" s="80"/>
    </row>
    <row r="85" spans="2:11" s="3" customFormat="1" ht="18" customHeight="1">
      <c r="B85" s="270" t="s">
        <v>108</v>
      </c>
      <c r="C85" s="271"/>
      <c r="D85" s="271"/>
      <c r="E85" s="271"/>
      <c r="F85" s="271"/>
      <c r="G85" s="271"/>
      <c r="H85" s="271"/>
      <c r="I85" s="271"/>
      <c r="J85" s="272"/>
      <c r="K85" s="80"/>
    </row>
    <row r="86" spans="2:14" s="3" customFormat="1" ht="24" customHeight="1">
      <c r="B86" s="270" t="s">
        <v>107</v>
      </c>
      <c r="C86" s="271"/>
      <c r="D86" s="271"/>
      <c r="E86" s="271"/>
      <c r="F86" s="271"/>
      <c r="G86" s="271"/>
      <c r="H86" s="271"/>
      <c r="I86" s="271"/>
      <c r="J86" s="272"/>
      <c r="K86" s="80"/>
      <c r="N86" s="106"/>
    </row>
    <row r="87" spans="2:11" s="3" customFormat="1" ht="27" customHeight="1">
      <c r="B87" s="270" t="s">
        <v>98</v>
      </c>
      <c r="C87" s="311"/>
      <c r="D87" s="311"/>
      <c r="E87" s="311"/>
      <c r="F87" s="311"/>
      <c r="G87" s="311"/>
      <c r="H87" s="311"/>
      <c r="I87" s="311"/>
      <c r="J87" s="272"/>
      <c r="K87" s="81"/>
    </row>
    <row r="88" spans="2:11" s="3" customFormat="1" ht="24" customHeight="1">
      <c r="B88" s="270" t="s">
        <v>99</v>
      </c>
      <c r="C88" s="271"/>
      <c r="D88" s="271"/>
      <c r="E88" s="271"/>
      <c r="F88" s="271"/>
      <c r="G88" s="271"/>
      <c r="H88" s="271"/>
      <c r="I88" s="271"/>
      <c r="J88" s="272"/>
      <c r="K88" s="81"/>
    </row>
    <row r="89" spans="2:11" s="3" customFormat="1" ht="15.75" customHeight="1">
      <c r="B89" s="267" t="s">
        <v>100</v>
      </c>
      <c r="C89" s="268"/>
      <c r="D89" s="268"/>
      <c r="E89" s="268"/>
      <c r="F89" s="268"/>
      <c r="G89" s="268"/>
      <c r="H89" s="268"/>
      <c r="I89" s="268"/>
      <c r="J89" s="269"/>
      <c r="K89" s="81"/>
    </row>
    <row r="90" spans="2:11" s="3" customFormat="1" ht="30.75" customHeight="1">
      <c r="B90" s="296" t="s">
        <v>101</v>
      </c>
      <c r="C90" s="297"/>
      <c r="D90" s="297"/>
      <c r="E90" s="297"/>
      <c r="F90" s="297"/>
      <c r="G90" s="297"/>
      <c r="H90" s="297"/>
      <c r="I90" s="297"/>
      <c r="J90" s="298"/>
      <c r="K90" s="80"/>
    </row>
    <row r="91" spans="2:11" s="3" customFormat="1" ht="18" customHeight="1">
      <c r="B91" s="267" t="s">
        <v>102</v>
      </c>
      <c r="C91" s="268"/>
      <c r="D91" s="268"/>
      <c r="E91" s="268"/>
      <c r="F91" s="268"/>
      <c r="G91" s="268"/>
      <c r="H91" s="268"/>
      <c r="I91" s="268"/>
      <c r="J91" s="269"/>
      <c r="K91" s="80"/>
    </row>
    <row r="92" spans="2:11" s="3" customFormat="1" ht="18" customHeight="1">
      <c r="B92" s="267" t="s">
        <v>103</v>
      </c>
      <c r="C92" s="268"/>
      <c r="D92" s="268"/>
      <c r="E92" s="268"/>
      <c r="F92" s="268"/>
      <c r="G92" s="268"/>
      <c r="H92" s="268"/>
      <c r="I92" s="268"/>
      <c r="J92" s="269"/>
      <c r="K92" s="80"/>
    </row>
    <row r="93" spans="2:11" s="3" customFormat="1" ht="17.25" customHeight="1">
      <c r="B93" s="299" t="s">
        <v>104</v>
      </c>
      <c r="C93" s="300"/>
      <c r="D93" s="300"/>
      <c r="E93" s="300"/>
      <c r="F93" s="300"/>
      <c r="G93" s="300"/>
      <c r="H93" s="300"/>
      <c r="I93" s="300"/>
      <c r="J93" s="301"/>
      <c r="K93" s="80"/>
    </row>
    <row r="94" spans="2:11" s="3" customFormat="1" ht="18.75" customHeight="1">
      <c r="B94" s="305" t="s">
        <v>105</v>
      </c>
      <c r="C94" s="306"/>
      <c r="D94" s="306"/>
      <c r="E94" s="306"/>
      <c r="F94" s="306"/>
      <c r="G94" s="306"/>
      <c r="H94" s="306"/>
      <c r="I94" s="306"/>
      <c r="J94" s="307"/>
      <c r="K94" s="80"/>
    </row>
    <row r="95" spans="2:11" s="3" customFormat="1" ht="18" customHeight="1">
      <c r="B95" s="204"/>
      <c r="C95" s="204"/>
      <c r="D95" s="204"/>
      <c r="E95" s="204"/>
      <c r="F95" s="204"/>
      <c r="G95" s="204"/>
      <c r="H95" s="204"/>
      <c r="I95" s="204"/>
      <c r="J95" s="204"/>
      <c r="K95" s="81"/>
    </row>
    <row r="96" spans="2:11" s="3" customFormat="1" ht="18" customHeight="1">
      <c r="B96" s="37"/>
      <c r="C96" s="38"/>
      <c r="D96" s="38"/>
      <c r="E96" s="38"/>
      <c r="F96" s="38"/>
      <c r="G96" s="38"/>
      <c r="H96" s="38"/>
      <c r="I96" s="38"/>
      <c r="J96" s="38"/>
      <c r="K96" s="33"/>
    </row>
    <row r="97" spans="2:11" s="3" customFormat="1" ht="16.5" customHeight="1">
      <c r="B97" s="39"/>
      <c r="C97" s="39"/>
      <c r="D97" s="39"/>
      <c r="E97" s="39"/>
      <c r="F97" s="39"/>
      <c r="G97" s="40"/>
      <c r="H97" s="39"/>
      <c r="I97" s="39"/>
      <c r="J97" s="39"/>
      <c r="K97" s="9"/>
    </row>
    <row r="98" spans="2:11" s="3" customFormat="1" ht="15">
      <c r="B98" s="4"/>
      <c r="C98" s="4"/>
      <c r="D98" s="4"/>
      <c r="E98" s="4"/>
      <c r="F98" s="4"/>
      <c r="G98" s="5"/>
      <c r="H98" s="4"/>
      <c r="I98" s="4"/>
      <c r="J98" s="4"/>
      <c r="K98" s="9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1" s="3" customFormat="1" ht="1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2" s="3" customFormat="1" ht="1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ht="18">
      <c r="B106" s="56"/>
      <c r="C106" s="56"/>
      <c r="D106" s="57"/>
      <c r="E106" s="57"/>
      <c r="F106" s="58"/>
      <c r="G106" s="58"/>
      <c r="H106" s="58"/>
      <c r="I106" s="67"/>
      <c r="J106" s="67"/>
      <c r="K106" s="69"/>
      <c r="L106" s="67"/>
    </row>
    <row r="107" spans="2:12" ht="18">
      <c r="B107" s="56"/>
      <c r="C107" s="59"/>
      <c r="D107" s="59"/>
      <c r="E107" s="60"/>
      <c r="F107" s="59"/>
      <c r="G107" s="61"/>
      <c r="H107" s="62"/>
      <c r="I107" s="67"/>
      <c r="J107" s="67"/>
      <c r="K107" s="69"/>
      <c r="L107" s="67"/>
    </row>
    <row r="108" spans="2:12" ht="18">
      <c r="B108" s="57"/>
      <c r="C108" s="57"/>
      <c r="D108" s="57"/>
      <c r="E108" s="57"/>
      <c r="F108" s="57"/>
      <c r="G108" s="57"/>
      <c r="H108" s="57"/>
      <c r="I108" s="67"/>
      <c r="J108" s="67"/>
      <c r="K108" s="69"/>
      <c r="L108" s="67"/>
    </row>
    <row r="109" spans="2:12" ht="18">
      <c r="B109" s="56"/>
      <c r="C109" s="57"/>
      <c r="D109" s="57"/>
      <c r="E109" s="57"/>
      <c r="F109" s="57"/>
      <c r="G109" s="57"/>
      <c r="H109" s="57"/>
      <c r="I109" s="67"/>
      <c r="J109" s="67"/>
      <c r="K109" s="69"/>
      <c r="L109" s="67"/>
    </row>
    <row r="110" spans="2:12" ht="18">
      <c r="B110" s="70"/>
      <c r="C110" s="71"/>
      <c r="D110" s="71"/>
      <c r="E110" s="63"/>
      <c r="F110" s="63"/>
      <c r="G110" s="63"/>
      <c r="H110" s="63"/>
      <c r="I110" s="67"/>
      <c r="J110" s="69"/>
      <c r="K110" s="69"/>
      <c r="L110" s="67"/>
    </row>
    <row r="111" spans="2:12" ht="18">
      <c r="B111" s="70"/>
      <c r="C111" s="71"/>
      <c r="D111" s="71"/>
      <c r="E111" s="63"/>
      <c r="F111" s="63"/>
      <c r="G111" s="63"/>
      <c r="H111" s="63"/>
      <c r="I111" s="67"/>
      <c r="J111" s="69"/>
      <c r="K111" s="69"/>
      <c r="L111" s="67"/>
    </row>
    <row r="112" spans="2:12" ht="18">
      <c r="B112" s="64"/>
      <c r="C112" s="65"/>
      <c r="D112" s="65"/>
      <c r="E112" s="64"/>
      <c r="F112" s="64"/>
      <c r="G112" s="64"/>
      <c r="H112" s="66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2"/>
      <c r="C115" s="73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8">
      <c r="B116" s="72"/>
      <c r="C116" s="73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8">
      <c r="B117" s="295"/>
      <c r="C117" s="295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ht="18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64"/>
      <c r="C130" s="65"/>
      <c r="D130" s="65"/>
      <c r="E130" s="64"/>
      <c r="F130" s="64"/>
      <c r="G130" s="64"/>
      <c r="H130" s="66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77"/>
      <c r="C141" s="77"/>
      <c r="D141" s="77"/>
      <c r="E141" s="77"/>
      <c r="F141" s="7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9"/>
      <c r="D144" s="69"/>
      <c r="E144" s="69"/>
      <c r="F144" s="69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9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9"/>
      <c r="D151" s="69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8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9"/>
      <c r="C164" s="69"/>
      <c r="D164" s="69"/>
      <c r="E164" s="69"/>
      <c r="F164" s="69"/>
      <c r="G164" s="69"/>
      <c r="H164" s="69"/>
      <c r="I164" s="69"/>
      <c r="J164" s="67"/>
      <c r="K164" s="69"/>
      <c r="L164" s="67"/>
    </row>
    <row r="165" spans="2:12" s="3" customFormat="1" ht="15">
      <c r="B165" s="69"/>
      <c r="C165" s="69"/>
      <c r="D165" s="69"/>
      <c r="E165" s="69"/>
      <c r="F165" s="69"/>
      <c r="G165" s="78"/>
      <c r="H165" s="69"/>
      <c r="I165" s="69"/>
      <c r="J165" s="67"/>
      <c r="K165" s="69"/>
      <c r="L165" s="78"/>
    </row>
    <row r="166" spans="2:12" s="3" customFormat="1" ht="15">
      <c r="B166" s="69"/>
      <c r="C166" s="69"/>
      <c r="D166" s="69"/>
      <c r="E166" s="69"/>
      <c r="F166" s="69"/>
      <c r="G166" s="69"/>
      <c r="H166" s="69"/>
      <c r="I166" s="79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</sheetData>
  <sheetProtection/>
  <mergeCells count="50">
    <mergeCell ref="I79:J80"/>
    <mergeCell ref="I81:J82"/>
    <mergeCell ref="I75:J75"/>
    <mergeCell ref="I74:J74"/>
    <mergeCell ref="I73:J73"/>
    <mergeCell ref="I72:J72"/>
    <mergeCell ref="B79:D80"/>
    <mergeCell ref="B81:D82"/>
    <mergeCell ref="E79:F80"/>
    <mergeCell ref="E81:F82"/>
    <mergeCell ref="G79:H80"/>
    <mergeCell ref="G81:H82"/>
    <mergeCell ref="E75:F75"/>
    <mergeCell ref="E74:F74"/>
    <mergeCell ref="E73:F73"/>
    <mergeCell ref="E72:F72"/>
    <mergeCell ref="G75:H75"/>
    <mergeCell ref="G74:H74"/>
    <mergeCell ref="G73:H73"/>
    <mergeCell ref="G72:H72"/>
    <mergeCell ref="B87:J87"/>
    <mergeCell ref="D2:J2"/>
    <mergeCell ref="D3:J3"/>
    <mergeCell ref="D4:J4"/>
    <mergeCell ref="B12:E12"/>
    <mergeCell ref="G12:J12"/>
    <mergeCell ref="E20:F20"/>
    <mergeCell ref="D6:J6"/>
    <mergeCell ref="B73:D73"/>
    <mergeCell ref="E71:J71"/>
    <mergeCell ref="B117:C117"/>
    <mergeCell ref="B86:J86"/>
    <mergeCell ref="B90:J90"/>
    <mergeCell ref="B93:J93"/>
    <mergeCell ref="B69:J69"/>
    <mergeCell ref="B92:J92"/>
    <mergeCell ref="B94:J94"/>
    <mergeCell ref="B89:J89"/>
    <mergeCell ref="B70:J70"/>
    <mergeCell ref="B88:J88"/>
    <mergeCell ref="B91:J91"/>
    <mergeCell ref="B85:J85"/>
    <mergeCell ref="L59:O59"/>
    <mergeCell ref="B84:J84"/>
    <mergeCell ref="E58:F58"/>
    <mergeCell ref="B58:D58"/>
    <mergeCell ref="B77:J78"/>
    <mergeCell ref="B71:D72"/>
    <mergeCell ref="B75:D75"/>
    <mergeCell ref="B74:D7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2" max="10" man="1"/>
  </rowBreaks>
  <ignoredErrors>
    <ignoredError sqref="J39:J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(('alfalfa_ estableci _rm_ 2019_20'!E13-45000)/45000)+1</f>
        <v>0.3866666666666667</v>
      </c>
    </row>
    <row r="3" ht="18">
      <c r="B3" s="13"/>
    </row>
    <row r="4" spans="2:3" ht="18">
      <c r="B4" s="345" t="s">
        <v>18</v>
      </c>
      <c r="C4" s="345"/>
    </row>
    <row r="5" spans="2:5" ht="18">
      <c r="B5" s="82" t="s">
        <v>34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46" t="s">
        <v>14</v>
      </c>
      <c r="C14" s="346"/>
      <c r="D14" s="346"/>
    </row>
    <row r="16" spans="2:4" ht="18">
      <c r="B16" s="49" t="s">
        <v>16</v>
      </c>
      <c r="C16" s="48" t="e">
        <f>'alfalfa_ estableci _rm_ 2019_20'!#REF!</f>
        <v>#REF!</v>
      </c>
      <c r="D16" s="48" t="e">
        <f>'alfalfa_ estableci _rm_ 2019_20'!#REF!</f>
        <v>#REF!</v>
      </c>
    </row>
    <row r="17" ht="15">
      <c r="B17" s="24"/>
    </row>
    <row r="18" spans="2:4" ht="15">
      <c r="B18" s="47" t="s">
        <v>17</v>
      </c>
      <c r="C18" s="50" t="e">
        <f>((C16-'alfalfa_ estableci _rm_ 2019_20'!E13)/'alfalfa_ estableci _rm_ 2019_20'!E13)+1</f>
        <v>#REF!</v>
      </c>
      <c r="D18" s="50" t="e">
        <f>((D16-'alfalfa_ estableci _rm_ 2019_20'!E13)/'alfalfa_ estableci _rm_ 2019_20'!E13)+1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SUM('alfalfa_ estableci _rm_ 2019_20'!J22:J26)</f>
        <v>460000</v>
      </c>
      <c r="D21" s="9">
        <f>SUM('alfalfa_ estableci _rm_ 2019_20'!J22:J26)</f>
        <v>460000</v>
      </c>
    </row>
    <row r="22" spans="2:4" ht="18">
      <c r="B22" s="51" t="s">
        <v>20</v>
      </c>
      <c r="C22" s="52" t="e">
        <f>C18*'alfalfa_ estableci _rm_ 2019_20'!G27*'alfalfa_ estableci _rm_ 2019_20'!I27</f>
        <v>#REF!</v>
      </c>
      <c r="D22" s="52" t="e">
        <f>D18*'alfalfa_ estableci _rm_ 2019_20'!G27*'alfalfa_ estableci _rm_ 2019_20'!I27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SUM('alfalfa_ estableci _rm_ 2019_20'!J31:J34)</f>
        <v>851600</v>
      </c>
      <c r="D26" s="9">
        <f>SUM('alfalfa_ estableci _rm_ 2019_20'!J31:J34)</f>
        <v>851600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851600</v>
      </c>
      <c r="D28" s="9">
        <f>SUM(D26:D27)</f>
        <v>851600</v>
      </c>
    </row>
    <row r="30" ht="18">
      <c r="B30" s="49" t="s">
        <v>22</v>
      </c>
    </row>
    <row r="31" spans="2:4" ht="18">
      <c r="B31" s="17" t="s">
        <v>19</v>
      </c>
      <c r="C31" s="9">
        <f>SUM('alfalfa_ estableci _rm_ 2019_20'!J38:J49)</f>
        <v>280647</v>
      </c>
      <c r="D31" s="9">
        <f>SUM('alfalfa_ estableci _rm_ 2019_20'!J38:J49)</f>
        <v>280647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280647</v>
      </c>
      <c r="D33" s="9">
        <f>SUM(D31:D32)</f>
        <v>280647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C35*'alfalfa_ estableci _rm_ 2019_20'!G53</f>
        <v>#REF!</v>
      </c>
      <c r="D37" s="9" t="e">
        <f>D35*D18*'alfalfa_ estableci _rm_ 2019_20'!G53</f>
        <v>#REF!</v>
      </c>
    </row>
    <row r="38" spans="2:4" ht="18">
      <c r="B38" s="53" t="s">
        <v>12</v>
      </c>
      <c r="C38" s="9" t="e">
        <f>C35*'alfalfa_ estableci _rm_ 2019_20'!E16*'alfalfa_ estableci _rm_ 2019_20'!E17*0.5</f>
        <v>#REF!</v>
      </c>
      <c r="D38" s="9" t="e">
        <f>D35*'alfalfa_ estableci _rm_ 2019_20'!E16*'alfalfa_ estableci _rm_ 2019_20'!E17*0.5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2021-01-21T15:07:11Z</dcterms:modified>
  <cp:category/>
  <cp:version/>
  <cp:contentType/>
  <cp:contentStatus/>
</cp:coreProperties>
</file>